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9375" windowHeight="4965" activeTab="1"/>
  </bookViews>
  <sheets>
    <sheet name="Instructions" sheetId="2" r:id="rId1"/>
    <sheet name="Computation" sheetId="1" r:id="rId2"/>
  </sheets>
  <definedNames>
    <definedName name="_xlnm.Print_Area" localSheetId="1">Computation!$A$1:$I$40</definedName>
  </definedNames>
  <calcPr calcId="145621"/>
</workbook>
</file>

<file path=xl/calcChain.xml><?xml version="1.0" encoding="utf-8"?>
<calcChain xmlns="http://schemas.openxmlformats.org/spreadsheetml/2006/main">
  <c r="I28" i="1" l="1"/>
  <c r="M13" i="1"/>
  <c r="M12" i="1"/>
  <c r="M11" i="1"/>
  <c r="M10" i="1"/>
  <c r="M8" i="1"/>
  <c r="M7" i="1"/>
  <c r="M6" i="1"/>
  <c r="M5" i="1"/>
  <c r="M4" i="1"/>
  <c r="M9" i="1"/>
  <c r="I6" i="1"/>
  <c r="I8" i="1" s="1"/>
  <c r="G16" i="1"/>
  <c r="I18" i="1"/>
  <c r="L5" i="1"/>
  <c r="L6" i="1"/>
  <c r="L8" i="1"/>
  <c r="L9" i="1"/>
  <c r="L11" i="1"/>
  <c r="L12" i="1"/>
  <c r="L14" i="1"/>
  <c r="L15" i="1"/>
  <c r="L17" i="1"/>
  <c r="L18" i="1"/>
  <c r="L20" i="1"/>
  <c r="L21" i="1"/>
  <c r="L22" i="1"/>
  <c r="L23" i="1"/>
  <c r="L25" i="1"/>
  <c r="I36" i="1"/>
  <c r="I37" i="1" s="1"/>
  <c r="I29" i="1"/>
  <c r="I12" i="1"/>
  <c r="K5" i="1" l="1"/>
  <c r="K8" i="1"/>
  <c r="K11" i="1"/>
  <c r="K14" i="1"/>
  <c r="K17" i="1"/>
  <c r="K20" i="1"/>
  <c r="K6" i="1"/>
  <c r="K9" i="1"/>
  <c r="K12" i="1"/>
  <c r="K15" i="1"/>
  <c r="K18" i="1"/>
  <c r="K4" i="1"/>
  <c r="K7" i="1"/>
  <c r="K10" i="1"/>
  <c r="K13" i="1"/>
  <c r="K16" i="1"/>
  <c r="K19" i="1"/>
  <c r="L19" i="1"/>
  <c r="L16" i="1"/>
  <c r="L13" i="1"/>
  <c r="L10" i="1"/>
  <c r="L7" i="1"/>
  <c r="L4" i="1"/>
  <c r="I21" i="1" s="1"/>
  <c r="I9" i="1" l="1"/>
  <c r="I13" i="1" s="1"/>
  <c r="I15" i="1" s="1"/>
  <c r="I19" i="1" s="1"/>
  <c r="I23" i="1" s="1"/>
  <c r="I39" i="1" l="1"/>
  <c r="I30" i="1"/>
  <c r="I31" i="1" s="1"/>
  <c r="I32" i="1" s="1"/>
</calcChain>
</file>

<file path=xl/sharedStrings.xml><?xml version="1.0" encoding="utf-8"?>
<sst xmlns="http://schemas.openxmlformats.org/spreadsheetml/2006/main" count="44" uniqueCount="44">
  <si>
    <t>US ESTATE TAX RETURN</t>
  </si>
  <si>
    <t>Line 6 computation</t>
  </si>
  <si>
    <t>Line 15 computation</t>
  </si>
  <si>
    <t>Line 11 computation</t>
  </si>
  <si>
    <t>Total allowable deductions</t>
  </si>
  <si>
    <t>Adjusted taxable gifts</t>
  </si>
  <si>
    <t>Add lines 3 and 4</t>
  </si>
  <si>
    <t xml:space="preserve"> 7a</t>
  </si>
  <si>
    <t xml:space="preserve"> 7b</t>
  </si>
  <si>
    <t>Total gift taxes</t>
  </si>
  <si>
    <t>Adjustment to unified credit</t>
  </si>
  <si>
    <t>Subtract line 13 from line 10</t>
  </si>
  <si>
    <t>Credit for state death taxes</t>
  </si>
  <si>
    <t xml:space="preserve"> Estate or inheritance tax actually paid to other states</t>
  </si>
  <si>
    <t xml:space="preserve"> Gross value of property in other states</t>
  </si>
  <si>
    <t>Mock Federal Form 706</t>
  </si>
  <si>
    <t>Total gross estate less exclusion</t>
  </si>
  <si>
    <t>Date of Death Year:</t>
  </si>
  <si>
    <t>Taxable estate (subtract line 2 from line 1)</t>
  </si>
  <si>
    <t>Tentative tax from Minnesota's Table A</t>
  </si>
  <si>
    <t>b) Subtract $10,000,000 from line 7a</t>
  </si>
  <si>
    <t>c) Multiply line 7b by 5% (.05)</t>
  </si>
  <si>
    <t>Total tentative tax (add lines 6 and 7c)</t>
  </si>
  <si>
    <t>Gross estate tax (subtract line 9 from line 8)</t>
  </si>
  <si>
    <t>Maximum unified credit for Minnesota purposes</t>
  </si>
  <si>
    <t>Allowable unified credit (subtract line 12 from line 11)</t>
  </si>
  <si>
    <t xml:space="preserve"> Total gross estate (from line 1 above)</t>
  </si>
  <si>
    <t>Nonresidents of Minnesota</t>
  </si>
  <si>
    <t>Gross value of Minnesota property</t>
  </si>
  <si>
    <t>Total gross estate (from line 1)</t>
  </si>
  <si>
    <t>Tentative Minnesota estate tax (the lesser of line 14 and line 15)</t>
  </si>
  <si>
    <t xml:space="preserve"> Divide line 18 by line 19</t>
  </si>
  <si>
    <t xml:space="preserve"> Multiply line 16 by line 20</t>
  </si>
  <si>
    <t xml:space="preserve"> Smaller of line 17 and line 21</t>
  </si>
  <si>
    <t xml:space="preserve"> Minnesota estate tax (subtract line 22 from line 16)</t>
  </si>
  <si>
    <t>Minnesota property divided by total property (divide line 24 by line 25)</t>
  </si>
  <si>
    <t>Minnesota estate tax (multiply line 16 by line 26)</t>
  </si>
  <si>
    <t>Mock Minnesota Form M706</t>
  </si>
  <si>
    <t>a) If line 5 &gt; $10,000,000.00, enter lesser of line 5 or $21,040,000.00</t>
  </si>
  <si>
    <t>Minnesota Estate Tax Calculator</t>
  </si>
  <si>
    <t>You may use this calculator as a tool to verify if you have calculated the Minnesota estate tax correctly for estates of a decedent whose date of death is after December 31, 1996. Do not use the amounts obtained from this calculator without first checking the calculations yourself.</t>
  </si>
  <si>
    <t>To use this calculator, enter the correct year of death in the white box under the title and the correct amounts on lines 1, 2, 4, 7a, 7b, 9, 12, 17 and 18. You can also verify the Minnesota estate tax for an estate of a Minnesota resident that has out-of-state property or for an estate of a nonresident by entering the correct amount on lin 24.</t>
  </si>
  <si>
    <t>Rates may change during the legislative process. Please check back on the department's website at www.taxes.state.mn.us for possible updates.</t>
  </si>
  <si>
    <t>This calculator was prepared using Microsoft Excel '97.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</si>
</sst>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17" x14ac:knownFonts="1">
    <font>
      <sz val="10"/>
      <name val="Arial"/>
    </font>
    <font>
      <b/>
      <sz val="10"/>
      <name val="Arial"/>
    </font>
    <font>
      <b/>
      <u/>
      <sz val="12"/>
      <name val="Helv"/>
    </font>
    <font>
      <b/>
      <sz val="12"/>
      <name val="Helv"/>
    </font>
    <font>
      <b/>
      <sz val="10"/>
      <name val="Helv"/>
    </font>
    <font>
      <b/>
      <sz val="6"/>
      <name val="Helv"/>
    </font>
    <font>
      <sz val="6"/>
      <name val="Helv"/>
    </font>
    <font>
      <sz val="10"/>
      <name val="Helv"/>
    </font>
    <font>
      <b/>
      <sz val="8"/>
      <name val="Helv"/>
    </font>
    <font>
      <sz val="8"/>
      <name val="Arial"/>
    </font>
    <font>
      <b/>
      <sz val="10"/>
      <name val="Arial"/>
      <family val="2"/>
    </font>
    <font>
      <sz val="10"/>
      <name val="Arial"/>
      <family val="2"/>
    </font>
    <font>
      <b/>
      <sz val="10"/>
      <name val="Helv"/>
      <family val="2"/>
    </font>
    <font>
      <b/>
      <u/>
      <sz val="10"/>
      <name val="Helv"/>
    </font>
    <font>
      <sz val="10"/>
      <name val="Arial"/>
    </font>
    <font>
      <b/>
      <sz val="14"/>
      <name val="Arial"/>
      <family val="2"/>
    </font>
    <font>
      <sz val="11"/>
      <name val="Arial"/>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35"/>
        <bgColor indexed="64"/>
      </patternFill>
    </fill>
    <fill>
      <patternFill patternType="solid">
        <fgColor indexed="22"/>
        <bgColor indexed="64"/>
      </patternFill>
    </fill>
    <fill>
      <patternFill patternType="solid">
        <fgColor indexed="45"/>
        <bgColor indexed="64"/>
      </patternFill>
    </fill>
    <fill>
      <patternFill patternType="solid">
        <fgColor indexed="31"/>
        <bgColor indexed="64"/>
      </patternFill>
    </fill>
    <fill>
      <patternFill patternType="solid">
        <fgColor indexed="15"/>
        <bgColor indexed="64"/>
      </patternFill>
    </fill>
  </fills>
  <borders count="7">
    <border>
      <left/>
      <right/>
      <top/>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70">
    <xf numFmtId="0" fontId="0" fillId="0" borderId="0" xfId="0"/>
    <xf numFmtId="0" fontId="2" fillId="2" borderId="0" xfId="0" applyFont="1" applyFill="1"/>
    <xf numFmtId="0" fontId="3" fillId="2" borderId="0" xfId="0" applyFont="1" applyFill="1"/>
    <xf numFmtId="0" fontId="0" fillId="2" borderId="0" xfId="0" applyFill="1"/>
    <xf numFmtId="0" fontId="4" fillId="2" borderId="0" xfId="0" applyFont="1" applyFill="1"/>
    <xf numFmtId="5" fontId="4" fillId="3" borderId="0" xfId="0" applyNumberFormat="1" applyFont="1" applyFill="1" applyProtection="1">
      <protection locked="0"/>
    </xf>
    <xf numFmtId="5" fontId="4" fillId="2" borderId="0" xfId="0" applyNumberFormat="1" applyFont="1" applyFill="1"/>
    <xf numFmtId="5" fontId="4" fillId="3" borderId="1" xfId="0" applyNumberFormat="1" applyFont="1" applyFill="1" applyBorder="1" applyProtection="1">
      <protection locked="0"/>
    </xf>
    <xf numFmtId="5" fontId="0" fillId="2" borderId="0" xfId="0" applyNumberFormat="1" applyFill="1"/>
    <xf numFmtId="5" fontId="0" fillId="2" borderId="2" xfId="0" applyNumberFormat="1" applyFill="1" applyBorder="1"/>
    <xf numFmtId="0" fontId="4" fillId="2" borderId="0" xfId="0" applyFont="1" applyFill="1" applyAlignment="1">
      <alignment horizontal="right"/>
    </xf>
    <xf numFmtId="2" fontId="0" fillId="2" borderId="0" xfId="0" applyNumberFormat="1" applyFill="1"/>
    <xf numFmtId="5" fontId="0" fillId="2" borderId="1" xfId="0" applyNumberFormat="1" applyFill="1" applyBorder="1"/>
    <xf numFmtId="0" fontId="5" fillId="2" borderId="0" xfId="0" applyFont="1" applyFill="1"/>
    <xf numFmtId="0" fontId="6" fillId="2" borderId="0" xfId="0" applyFont="1" applyFill="1"/>
    <xf numFmtId="2" fontId="6" fillId="2" borderId="0" xfId="0" applyNumberFormat="1" applyFont="1" applyFill="1"/>
    <xf numFmtId="0" fontId="6" fillId="0" borderId="0" xfId="0" applyFont="1"/>
    <xf numFmtId="5" fontId="4" fillId="4" borderId="3" xfId="0" applyNumberFormat="1" applyFont="1" applyFill="1" applyBorder="1"/>
    <xf numFmtId="0" fontId="0" fillId="5" borderId="0" xfId="0" applyFill="1"/>
    <xf numFmtId="0" fontId="4" fillId="5" borderId="0" xfId="0" applyFont="1" applyFill="1"/>
    <xf numFmtId="0" fontId="7" fillId="5" borderId="0" xfId="0" applyFont="1" applyFill="1"/>
    <xf numFmtId="5" fontId="4" fillId="5" borderId="0" xfId="0" applyNumberFormat="1" applyFont="1" applyFill="1"/>
    <xf numFmtId="5" fontId="0" fillId="5" borderId="0" xfId="0" applyNumberFormat="1" applyFill="1"/>
    <xf numFmtId="10" fontId="0" fillId="5" borderId="1" xfId="0" applyNumberFormat="1" applyFill="1" applyBorder="1"/>
    <xf numFmtId="10" fontId="0" fillId="5" borderId="0" xfId="0" applyNumberFormat="1" applyFill="1"/>
    <xf numFmtId="0" fontId="1" fillId="2" borderId="0" xfId="0" applyFont="1" applyFill="1"/>
    <xf numFmtId="0" fontId="6" fillId="0" borderId="4" xfId="0" applyFont="1" applyBorder="1"/>
    <xf numFmtId="0" fontId="0" fillId="0" borderId="4" xfId="0" applyBorder="1"/>
    <xf numFmtId="0" fontId="0" fillId="6" borderId="5" xfId="0" applyFill="1" applyBorder="1" applyAlignment="1">
      <alignment wrapText="1"/>
    </xf>
    <xf numFmtId="5" fontId="0" fillId="6" borderId="4" xfId="0" applyNumberFormat="1" applyFill="1" applyBorder="1"/>
    <xf numFmtId="0" fontId="0" fillId="7" borderId="6" xfId="0" applyFill="1" applyBorder="1" applyAlignment="1">
      <alignment wrapText="1"/>
    </xf>
    <xf numFmtId="5" fontId="0" fillId="7" borderId="0" xfId="0" applyNumberFormat="1" applyFill="1"/>
    <xf numFmtId="5" fontId="6" fillId="7" borderId="0" xfId="0" applyNumberFormat="1" applyFont="1" applyFill="1"/>
    <xf numFmtId="0" fontId="0" fillId="8" borderId="6" xfId="0" applyFill="1" applyBorder="1" applyAlignment="1">
      <alignment wrapText="1"/>
    </xf>
    <xf numFmtId="5" fontId="0" fillId="8" borderId="0" xfId="0" applyNumberFormat="1" applyFill="1"/>
    <xf numFmtId="0" fontId="8" fillId="2" borderId="0" xfId="0" applyFont="1" applyFill="1"/>
    <xf numFmtId="0" fontId="9" fillId="2" borderId="0" xfId="0" applyFont="1" applyFill="1"/>
    <xf numFmtId="0" fontId="8" fillId="2" borderId="0" xfId="0" applyFont="1" applyFill="1" applyAlignment="1">
      <alignment horizontal="right"/>
    </xf>
    <xf numFmtId="2" fontId="9" fillId="2" borderId="0" xfId="0" applyNumberFormat="1" applyFont="1" applyFill="1"/>
    <xf numFmtId="5" fontId="9" fillId="6" borderId="4" xfId="0" applyNumberFormat="1" applyFont="1" applyFill="1" applyBorder="1"/>
    <xf numFmtId="5" fontId="9" fillId="7" borderId="0" xfId="0" applyNumberFormat="1" applyFont="1" applyFill="1"/>
    <xf numFmtId="5" fontId="9" fillId="8" borderId="0" xfId="0" applyNumberFormat="1" applyFont="1" applyFill="1"/>
    <xf numFmtId="0" fontId="9" fillId="0" borderId="0" xfId="0" applyFont="1"/>
    <xf numFmtId="5" fontId="8" fillId="3" borderId="1" xfId="0" applyNumberFormat="1" applyFont="1" applyFill="1" applyBorder="1" applyProtection="1">
      <protection locked="0"/>
    </xf>
    <xf numFmtId="5" fontId="8" fillId="2" borderId="0" xfId="0" applyNumberFormat="1" applyFont="1" applyFill="1"/>
    <xf numFmtId="5" fontId="9" fillId="3" borderId="1" xfId="0" applyNumberFormat="1" applyFont="1" applyFill="1" applyBorder="1" applyProtection="1">
      <protection locked="0"/>
    </xf>
    <xf numFmtId="1" fontId="10" fillId="3" borderId="0" xfId="0" applyNumberFormat="1" applyFont="1" applyFill="1" applyProtection="1">
      <protection locked="0"/>
    </xf>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14" fillId="6" borderId="4" xfId="0" applyFont="1" applyFill="1" applyBorder="1" applyAlignment="1">
      <alignment wrapText="1"/>
    </xf>
    <xf numFmtId="0" fontId="14" fillId="7" borderId="0" xfId="0" applyFont="1" applyFill="1" applyBorder="1" applyAlignment="1">
      <alignment wrapText="1"/>
    </xf>
    <xf numFmtId="0" fontId="14" fillId="8" borderId="0" xfId="0" applyFont="1" applyFill="1" applyBorder="1" applyAlignment="1">
      <alignment wrapText="1"/>
    </xf>
    <xf numFmtId="0" fontId="14" fillId="0" borderId="0" xfId="0" applyFont="1"/>
    <xf numFmtId="1" fontId="10" fillId="2" borderId="0" xfId="0" applyNumberFormat="1" applyFont="1" applyFill="1" applyProtection="1">
      <protection locked="0"/>
    </xf>
    <xf numFmtId="0" fontId="10" fillId="2" borderId="0" xfId="0" applyFont="1" applyFill="1"/>
    <xf numFmtId="0" fontId="12" fillId="2" borderId="0" xfId="0" applyFont="1" applyFill="1" applyAlignment="1">
      <alignment horizontal="right"/>
    </xf>
    <xf numFmtId="5" fontId="4" fillId="3" borderId="0" xfId="0" applyNumberFormat="1" applyFont="1" applyFill="1" applyBorder="1" applyProtection="1">
      <protection locked="0"/>
    </xf>
    <xf numFmtId="5" fontId="0" fillId="5" borderId="0" xfId="0" applyNumberFormat="1" applyFill="1" applyBorder="1"/>
    <xf numFmtId="10" fontId="0" fillId="5" borderId="0" xfId="0" applyNumberFormat="1" applyFill="1" applyBorder="1"/>
    <xf numFmtId="0" fontId="4" fillId="9" borderId="0" xfId="0" applyFont="1" applyFill="1"/>
    <xf numFmtId="0" fontId="0" fillId="9" borderId="0" xfId="0" applyFill="1"/>
    <xf numFmtId="0" fontId="12" fillId="5" borderId="0" xfId="0" applyFont="1" applyFill="1"/>
    <xf numFmtId="5" fontId="4" fillId="2" borderId="0" xfId="0" applyNumberFormat="1" applyFont="1" applyFill="1" applyBorder="1"/>
    <xf numFmtId="2" fontId="9" fillId="3" borderId="0" xfId="0" applyNumberFormat="1" applyFont="1" applyFill="1" applyProtection="1">
      <protection locked="0"/>
    </xf>
    <xf numFmtId="2" fontId="9" fillId="3" borderId="1" xfId="0" applyNumberFormat="1" applyFont="1" applyFill="1" applyBorder="1" applyProtection="1">
      <protection locked="0"/>
    </xf>
    <xf numFmtId="0" fontId="15" fillId="0" borderId="0" xfId="0" applyFont="1"/>
    <xf numFmtId="0" fontId="16" fillId="0" borderId="0" xfId="0" applyFont="1" applyBorder="1" applyAlignment="1">
      <alignment wrapText="1"/>
    </xf>
    <xf numFmtId="0" fontId="16" fillId="0" borderId="0" xfId="0" applyFont="1" applyAlignment="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2.75" x14ac:dyDescent="0.2"/>
  <cols>
    <col min="1" max="1" width="73.140625" customWidth="1"/>
  </cols>
  <sheetData>
    <row r="1" spans="1:1" ht="16.350000000000001" customHeight="1" x14ac:dyDescent="0.25">
      <c r="A1" s="67" t="s">
        <v>39</v>
      </c>
    </row>
    <row r="3" spans="1:1" ht="57" x14ac:dyDescent="0.2">
      <c r="A3" s="68" t="s">
        <v>40</v>
      </c>
    </row>
    <row r="5" spans="1:1" ht="71.25" x14ac:dyDescent="0.2">
      <c r="A5" s="69" t="s">
        <v>41</v>
      </c>
    </row>
    <row r="7" spans="1:1" ht="28.5" x14ac:dyDescent="0.2">
      <c r="A7" s="69" t="s">
        <v>42</v>
      </c>
    </row>
    <row r="9" spans="1:1" ht="14.25" x14ac:dyDescent="0.2">
      <c r="A9" s="69" t="s">
        <v>43</v>
      </c>
    </row>
  </sheetData>
  <phoneticPr fontId="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topLeftCell="A8" workbookViewId="0">
      <selection activeCell="M1" sqref="M1"/>
    </sheetView>
  </sheetViews>
  <sheetFormatPr defaultColWidth="11" defaultRowHeight="12.75" x14ac:dyDescent="0.2"/>
  <cols>
    <col min="1" max="1" width="7.7109375" customWidth="1"/>
    <col min="2" max="2" width="42.42578125" customWidth="1"/>
    <col min="3" max="3" width="7.28515625" customWidth="1"/>
    <col min="4" max="4" width="4.7109375" customWidth="1"/>
    <col min="5" max="5" width="4.140625" customWidth="1"/>
    <col min="6" max="6" width="3.85546875" customWidth="1"/>
    <col min="7" max="7" width="11" customWidth="1"/>
    <col min="8" max="8" width="5" customWidth="1"/>
    <col min="9" max="9" width="17" customWidth="1"/>
    <col min="10" max="10" width="36.7109375" customWidth="1"/>
    <col min="11" max="12" width="12.7109375" hidden="1" customWidth="1"/>
    <col min="13" max="13" width="12.28515625" hidden="1" customWidth="1"/>
  </cols>
  <sheetData>
    <row r="1" spans="1:13" ht="27.95" customHeight="1" thickBot="1" x14ac:dyDescent="0.3">
      <c r="A1" s="1"/>
      <c r="B1" s="2"/>
      <c r="C1" s="2" t="s">
        <v>0</v>
      </c>
      <c r="D1" s="3"/>
      <c r="E1" s="1"/>
      <c r="F1" s="2"/>
      <c r="G1" s="2"/>
      <c r="H1" s="3"/>
      <c r="I1" s="3"/>
      <c r="J1" s="3"/>
      <c r="K1" s="28" t="s">
        <v>1</v>
      </c>
      <c r="L1" s="30" t="s">
        <v>2</v>
      </c>
      <c r="M1" s="33" t="s">
        <v>3</v>
      </c>
    </row>
    <row r="2" spans="1:13" s="54" customFormat="1" ht="12.75" customHeight="1" x14ac:dyDescent="0.2">
      <c r="A2" s="49"/>
      <c r="B2" s="4"/>
      <c r="C2" s="4" t="s">
        <v>17</v>
      </c>
      <c r="D2" s="56"/>
      <c r="E2" s="48"/>
      <c r="F2" s="50"/>
      <c r="G2" s="46"/>
      <c r="H2" s="50"/>
      <c r="I2" s="50"/>
      <c r="J2" s="50"/>
      <c r="K2" s="51"/>
      <c r="L2" s="52"/>
      <c r="M2" s="53"/>
    </row>
    <row r="3" spans="1:13" s="54" customFormat="1" ht="12.75" customHeight="1" x14ac:dyDescent="0.2">
      <c r="A3" s="49" t="s">
        <v>15</v>
      </c>
      <c r="B3" s="4"/>
      <c r="C3" s="4"/>
      <c r="D3" s="56"/>
      <c r="E3" s="48"/>
      <c r="F3" s="50"/>
      <c r="G3" s="55"/>
      <c r="H3" s="50"/>
      <c r="I3" s="50"/>
      <c r="J3" s="50"/>
      <c r="K3" s="51"/>
      <c r="L3" s="52"/>
      <c r="M3" s="53"/>
    </row>
    <row r="4" spans="1:13" x14ac:dyDescent="0.2">
      <c r="A4" s="4">
        <v>1</v>
      </c>
      <c r="B4" s="3" t="s">
        <v>16</v>
      </c>
      <c r="C4" s="3"/>
      <c r="D4" s="3"/>
      <c r="E4" s="25"/>
      <c r="F4" s="55"/>
      <c r="G4" s="3"/>
      <c r="H4" s="4">
        <v>1</v>
      </c>
      <c r="I4" s="5"/>
      <c r="J4" s="6"/>
      <c r="K4" s="29">
        <f>IF(I8&lt;10000,(I8*0.18),I8*0)</f>
        <v>0</v>
      </c>
      <c r="L4" s="31">
        <f>IF(I6-60000&lt;40000,(I6*0),I6*0)</f>
        <v>0</v>
      </c>
      <c r="M4" s="34">
        <f>IF(G2=1997, 192800,0)</f>
        <v>0</v>
      </c>
    </row>
    <row r="5" spans="1:13" x14ac:dyDescent="0.2">
      <c r="A5" s="4">
        <v>2</v>
      </c>
      <c r="B5" s="3" t="s">
        <v>4</v>
      </c>
      <c r="C5" s="3"/>
      <c r="D5" s="3"/>
      <c r="E5" s="3"/>
      <c r="F5" s="3"/>
      <c r="G5" s="3"/>
      <c r="H5" s="4">
        <v>2</v>
      </c>
      <c r="I5" s="7"/>
      <c r="J5" s="6"/>
      <c r="K5" s="29" t="b">
        <f>IF(I8&gt;=10000, IF(I8&lt;20000,(I8-10000)*0.2+1800,0))</f>
        <v>0</v>
      </c>
      <c r="L5" s="31" t="b">
        <f>IF(I6-60000&gt;=40000, IF(I6-60000&lt;90000,(I6-100000)*0.008,0))</f>
        <v>0</v>
      </c>
      <c r="M5" s="34">
        <f>IF(G2=1998, 202050,0)</f>
        <v>0</v>
      </c>
    </row>
    <row r="6" spans="1:13" x14ac:dyDescent="0.2">
      <c r="A6" s="4">
        <v>3</v>
      </c>
      <c r="B6" s="3" t="s">
        <v>18</v>
      </c>
      <c r="C6" s="3"/>
      <c r="D6" s="3"/>
      <c r="E6" s="3"/>
      <c r="F6" s="3"/>
      <c r="G6" s="3"/>
      <c r="H6" s="4">
        <v>3</v>
      </c>
      <c r="I6" s="8">
        <f>I4-I5</f>
        <v>0</v>
      </c>
      <c r="J6" s="8"/>
      <c r="K6" s="29" t="b">
        <f>IF(I8&gt;=20000, IF( I8&lt;40000,(I8-20000)*0.22+3800,0))</f>
        <v>0</v>
      </c>
      <c r="L6" s="31" t="b">
        <f>IF(I6-60000&gt;=90000, IF(I6-60000&lt;140000,(I6-150000)*0.016+400,0))</f>
        <v>0</v>
      </c>
      <c r="M6" s="34">
        <f>IF(G2=1999, 211300,0)</f>
        <v>0</v>
      </c>
    </row>
    <row r="7" spans="1:13" s="42" customFormat="1" x14ac:dyDescent="0.2">
      <c r="A7" s="48">
        <v>4</v>
      </c>
      <c r="B7" s="47" t="s">
        <v>5</v>
      </c>
      <c r="C7" s="36"/>
      <c r="D7" s="3"/>
      <c r="E7" s="3"/>
      <c r="F7" s="3"/>
      <c r="G7" s="36"/>
      <c r="H7" s="48">
        <v>4</v>
      </c>
      <c r="I7" s="43">
        <v>0</v>
      </c>
      <c r="J7" s="44"/>
      <c r="K7" s="39" t="b">
        <f>IF(I8&gt;=40000, IF(I8&lt;60000,(I8-40000)*0.24+8200,0))</f>
        <v>0</v>
      </c>
      <c r="L7" s="40" t="b">
        <f>IF(I6-60000&gt;=140000, IF(I6-60000&lt;240000,(I6-200000)*0.024+1200,0))</f>
        <v>0</v>
      </c>
      <c r="M7" s="34">
        <f>IF(G2=2000, 220550, 0)</f>
        <v>0</v>
      </c>
    </row>
    <row r="8" spans="1:13" ht="13.5" thickBot="1" x14ac:dyDescent="0.25">
      <c r="A8" s="4">
        <v>5</v>
      </c>
      <c r="B8" s="3" t="s">
        <v>6</v>
      </c>
      <c r="C8" s="3"/>
      <c r="D8" s="3"/>
      <c r="E8" s="3"/>
      <c r="F8" s="3"/>
      <c r="G8" s="3"/>
      <c r="H8" s="4">
        <v>5</v>
      </c>
      <c r="I8" s="9">
        <f>+I6+I7</f>
        <v>0</v>
      </c>
      <c r="J8" s="8"/>
      <c r="K8" s="29" t="b">
        <f>IF(I8&gt;=60000, IF(I8&lt;80000,(I8-60000)*0.26+13000,I8*0))</f>
        <v>0</v>
      </c>
      <c r="L8" s="31" t="b">
        <f>IF(I6-60000&gt;=240000, IF(I6-60000&lt;440000,(I6-300000)*0.032+3600,0))</f>
        <v>0</v>
      </c>
      <c r="M8" s="41">
        <f>IF(G2=2001, 220550, 0)</f>
        <v>0</v>
      </c>
    </row>
    <row r="9" spans="1:13" ht="13.5" thickTop="1" x14ac:dyDescent="0.2">
      <c r="A9" s="4">
        <v>6</v>
      </c>
      <c r="B9" s="3" t="s">
        <v>19</v>
      </c>
      <c r="C9" s="3"/>
      <c r="D9" s="3"/>
      <c r="E9" s="3"/>
      <c r="F9" s="3"/>
      <c r="G9" s="3"/>
      <c r="H9" s="4">
        <v>6</v>
      </c>
      <c r="I9" s="8">
        <f>SUM(K4:K20)</f>
        <v>0</v>
      </c>
      <c r="J9" s="8"/>
      <c r="K9" s="29" t="b">
        <f>IF(I8&gt;=80000,IF(I8&lt;100000,(I8-80000)*0.28+18200,0))</f>
        <v>0</v>
      </c>
      <c r="L9" s="31" t="b">
        <f>IF(I6-60000&gt;=440000, IF(I6-60000&lt;640000,(I6-500000)*0.04+10000,0))</f>
        <v>0</v>
      </c>
      <c r="M9" s="34">
        <f>IF(G2=2002, 229800,0)</f>
        <v>0</v>
      </c>
    </row>
    <row r="10" spans="1:13" s="42" customFormat="1" x14ac:dyDescent="0.2">
      <c r="A10" s="48">
        <v>7</v>
      </c>
      <c r="B10" s="47" t="s">
        <v>38</v>
      </c>
      <c r="C10" s="36"/>
      <c r="D10" s="36"/>
      <c r="E10" s="36"/>
      <c r="F10" s="57" t="s">
        <v>7</v>
      </c>
      <c r="G10" s="65">
        <v>0</v>
      </c>
      <c r="H10" s="35"/>
      <c r="I10" s="38"/>
      <c r="J10" s="38"/>
      <c r="K10" s="39" t="b">
        <f>IF(I8&gt;=100000, IF(I8&lt;150000,(I8-100000)*0.3+23800,0))</f>
        <v>0</v>
      </c>
      <c r="L10" s="40" t="b">
        <f>IF(I6-60000&gt;=640000, IF(I6-60000&lt;840000,(I6-700000)*0.048+18000,0))</f>
        <v>0</v>
      </c>
      <c r="M10" s="34">
        <f>IF(G2=2003, 229800,0)</f>
        <v>0</v>
      </c>
    </row>
    <row r="11" spans="1:13" s="42" customFormat="1" x14ac:dyDescent="0.2">
      <c r="A11" s="35"/>
      <c r="B11" s="47" t="s">
        <v>20</v>
      </c>
      <c r="C11" s="36"/>
      <c r="D11" s="36"/>
      <c r="E11" s="36"/>
      <c r="F11" s="57" t="s">
        <v>8</v>
      </c>
      <c r="G11" s="66">
        <v>0</v>
      </c>
      <c r="H11" s="35"/>
      <c r="I11" s="38"/>
      <c r="J11" s="38"/>
      <c r="K11" s="39" t="b">
        <f>IF(I8&gt;=150000, IF(I8&lt;250000,(I8-150000)*0.32+38800,0))</f>
        <v>0</v>
      </c>
      <c r="L11" s="40" t="b">
        <f>IF(I6-60000&gt;=840000, IF(I6-60000&lt;1040000,(I6-900000)*0.056+27600,0))</f>
        <v>0</v>
      </c>
      <c r="M11" s="41">
        <f>IF(G2=2004, 287300,0)</f>
        <v>0</v>
      </c>
    </row>
    <row r="12" spans="1:13" x14ac:dyDescent="0.2">
      <c r="A12" s="4"/>
      <c r="B12" s="3" t="s">
        <v>21</v>
      </c>
      <c r="C12" s="3"/>
      <c r="D12" s="3"/>
      <c r="E12" s="3"/>
      <c r="F12" s="10"/>
      <c r="G12" s="3"/>
      <c r="H12" s="4">
        <v>7</v>
      </c>
      <c r="I12" s="12">
        <f>+G11*0.05</f>
        <v>0</v>
      </c>
      <c r="J12" s="8"/>
      <c r="K12" s="29" t="b">
        <f>IF(I8&gt;=250000, IF(I8&lt;500000,(I8-250000)*0.34+70800,0))</f>
        <v>0</v>
      </c>
      <c r="L12" s="31" t="b">
        <f>IF(I6-60000&gt;=1040000, IF(I6-60000&lt;1540000,(I6-1100000)*0.064+38800,0))</f>
        <v>0</v>
      </c>
      <c r="M12" s="41">
        <f>IF(G2=2005, 326300,0)</f>
        <v>0</v>
      </c>
    </row>
    <row r="13" spans="1:13" x14ac:dyDescent="0.2">
      <c r="A13" s="4">
        <v>8</v>
      </c>
      <c r="B13" s="3" t="s">
        <v>22</v>
      </c>
      <c r="C13" s="3"/>
      <c r="D13" s="3"/>
      <c r="E13" s="3"/>
      <c r="F13" s="10"/>
      <c r="G13" s="3"/>
      <c r="H13" s="4">
        <v>8</v>
      </c>
      <c r="I13" s="8">
        <f>+I9+I12</f>
        <v>0</v>
      </c>
      <c r="J13" s="8"/>
      <c r="K13" s="29" t="b">
        <f>IF(I8&gt;=500000, IF(I8&lt;750000,(I8-500000)*0.37+155800,0))</f>
        <v>0</v>
      </c>
      <c r="L13" s="31" t="b">
        <f>IF(I6-60000&gt;=1540000, IF(I6-60000&lt;2040000,(I6-1600000)*0.072+70800,0))</f>
        <v>0</v>
      </c>
      <c r="M13" s="34">
        <f>IF(G2=2006, 345800,0)</f>
        <v>0</v>
      </c>
    </row>
    <row r="14" spans="1:13" s="42" customFormat="1" x14ac:dyDescent="0.2">
      <c r="A14" s="48">
        <v>9</v>
      </c>
      <c r="B14" s="47" t="s">
        <v>9</v>
      </c>
      <c r="C14" s="36"/>
      <c r="D14" s="36"/>
      <c r="E14" s="36"/>
      <c r="F14" s="37"/>
      <c r="G14" s="36"/>
      <c r="H14" s="48">
        <v>9</v>
      </c>
      <c r="I14" s="43"/>
      <c r="J14" s="44"/>
      <c r="K14" s="39" t="b">
        <f>IF(I8&gt;=750000, IF(I8&lt;1000000,(I8-750000)*0.39+248300,0))</f>
        <v>0</v>
      </c>
      <c r="L14" s="40" t="b">
        <f>IF(I6-60000&gt;=2040000, IF(I6-60000&lt;2540000,(I6-2100000)*0.08+106800,0))</f>
        <v>0</v>
      </c>
    </row>
    <row r="15" spans="1:13" x14ac:dyDescent="0.2">
      <c r="A15" s="4">
        <v>10</v>
      </c>
      <c r="B15" s="3" t="s">
        <v>23</v>
      </c>
      <c r="C15" s="3"/>
      <c r="D15" s="3"/>
      <c r="E15" s="3"/>
      <c r="F15" s="10"/>
      <c r="G15" s="3"/>
      <c r="H15" s="4">
        <v>10</v>
      </c>
      <c r="I15" s="8">
        <f>+I13-I14</f>
        <v>0</v>
      </c>
      <c r="J15" s="8"/>
      <c r="K15" s="29" t="b">
        <f>IF(I8&gt;=1000000, IF(I8&lt;1250000,(I8-1000000)*0.41+345800,0))</f>
        <v>0</v>
      </c>
      <c r="L15" s="31" t="b">
        <f>IF(I6-60000&gt;=2540000, IF(I6-60000&lt;3040000,(I6-2600000)*0.088+146800,0))</f>
        <v>0</v>
      </c>
    </row>
    <row r="16" spans="1:13" x14ac:dyDescent="0.2">
      <c r="A16" s="4">
        <v>11</v>
      </c>
      <c r="B16" s="3" t="s">
        <v>24</v>
      </c>
      <c r="C16" s="3"/>
      <c r="D16" s="3"/>
      <c r="E16" s="3"/>
      <c r="F16" s="10">
        <v>11</v>
      </c>
      <c r="G16" s="12">
        <f>SUM(M4:M13)</f>
        <v>0</v>
      </c>
      <c r="H16" s="4"/>
      <c r="I16" s="11"/>
      <c r="J16" s="11"/>
      <c r="K16" s="29" t="b">
        <f>IF(I8&gt;=1250000, IF(I8&lt;1500000,(I8-1250000)*0.43+448300,0))</f>
        <v>0</v>
      </c>
      <c r="L16" s="31" t="b">
        <f>IF(I6-60000&gt;=3040000, IF(I6-60000&lt;3540000,(I6-3100000)*0.096+190800,0))</f>
        <v>0</v>
      </c>
    </row>
    <row r="17" spans="1:13" s="42" customFormat="1" x14ac:dyDescent="0.2">
      <c r="A17" s="48">
        <v>12</v>
      </c>
      <c r="B17" s="47" t="s">
        <v>10</v>
      </c>
      <c r="C17" s="36"/>
      <c r="D17" s="36"/>
      <c r="E17" s="36"/>
      <c r="F17" s="57">
        <v>12</v>
      </c>
      <c r="G17" s="45"/>
      <c r="H17" s="35"/>
      <c r="I17" s="38"/>
      <c r="J17" s="38"/>
      <c r="K17" s="39" t="b">
        <f>IF(I8&gt;=1500000, IF(I8&lt;2000000,(I8-1500000)*0.45+555800,0))</f>
        <v>0</v>
      </c>
      <c r="L17" s="40" t="b">
        <f>IF(I6-60000&gt;=3540000, IF(I6-60000&lt;4040000,(I6-3600000)*0.104+238800,0))</f>
        <v>0</v>
      </c>
    </row>
    <row r="18" spans="1:13" x14ac:dyDescent="0.2">
      <c r="A18" s="4">
        <v>13</v>
      </c>
      <c r="B18" s="3" t="s">
        <v>25</v>
      </c>
      <c r="C18" s="3"/>
      <c r="D18" s="3"/>
      <c r="E18" s="3"/>
      <c r="F18" s="3"/>
      <c r="G18" s="3"/>
      <c r="H18" s="4">
        <v>13</v>
      </c>
      <c r="I18" s="12">
        <f>+G16-G17</f>
        <v>0</v>
      </c>
      <c r="J18" s="8"/>
      <c r="K18" s="29" t="b">
        <f>IF(I8&gt;=2000000, IF(I8&lt;2500000,(I8-2000000)*0.49+780800,0))</f>
        <v>0</v>
      </c>
      <c r="L18" s="31" t="b">
        <f>IF(I6-60000&gt;=4040000, IF(I6-60000&lt;5040000,(I6-4100000)*0.112+290800,0))</f>
        <v>0</v>
      </c>
    </row>
    <row r="19" spans="1:13" x14ac:dyDescent="0.2">
      <c r="A19" s="4">
        <v>14</v>
      </c>
      <c r="B19" s="3" t="s">
        <v>11</v>
      </c>
      <c r="C19" s="3"/>
      <c r="D19" s="3"/>
      <c r="E19" s="3"/>
      <c r="F19" s="3"/>
      <c r="G19" s="3"/>
      <c r="H19" s="4">
        <v>14</v>
      </c>
      <c r="I19" s="8">
        <f>IF(I15-I18&gt;0,(I15-I18),0)</f>
        <v>0</v>
      </c>
      <c r="J19" s="8"/>
      <c r="K19" s="29" t="b">
        <f>IF(I8&gt;=2500000, IF(I8&lt;3000000,(I8-2500000)*0.53+1025800,0))</f>
        <v>0</v>
      </c>
      <c r="L19" s="31" t="b">
        <f>IF(I6-60000&gt;=5040000, IF(I6-60000&lt;6040000,(I6-5100000)*0.12+402800,0))</f>
        <v>0</v>
      </c>
    </row>
    <row r="20" spans="1:13" s="16" customFormat="1" x14ac:dyDescent="0.2">
      <c r="A20" s="13"/>
      <c r="B20" s="14"/>
      <c r="C20" s="14"/>
      <c r="D20" s="14"/>
      <c r="E20" s="14"/>
      <c r="F20" s="14"/>
      <c r="G20" s="14"/>
      <c r="H20" s="13"/>
      <c r="I20" s="15"/>
      <c r="J20" s="15"/>
      <c r="K20" s="29">
        <f>IF(I8&gt;=3000000,(I8-3000000)*0.55+1290800,0)</f>
        <v>0</v>
      </c>
      <c r="L20" s="31" t="b">
        <f>IF(I6-60000&gt;=6040000, IF(I6-60000&lt;7040000,(I6-6100000)*0.128+522800,0))</f>
        <v>0</v>
      </c>
      <c r="M20"/>
    </row>
    <row r="21" spans="1:13" x14ac:dyDescent="0.2">
      <c r="A21" s="4">
        <v>15</v>
      </c>
      <c r="B21" s="3" t="s">
        <v>12</v>
      </c>
      <c r="C21" s="3"/>
      <c r="D21" s="3"/>
      <c r="E21" s="3"/>
      <c r="F21" s="3"/>
      <c r="G21" s="3"/>
      <c r="H21" s="4">
        <v>15</v>
      </c>
      <c r="I21" s="12">
        <f>SUM(L4:L25)</f>
        <v>0</v>
      </c>
      <c r="J21" s="8"/>
      <c r="K21" s="26"/>
      <c r="L21" s="32" t="b">
        <f>IF(I6-60000&gt;=7040000, IF(I6-60000&lt;8040000,(I6-7100000)*0.136+650800,0))</f>
        <v>0</v>
      </c>
      <c r="M21" s="16"/>
    </row>
    <row r="22" spans="1:13" s="16" customFormat="1" ht="13.5" thickBot="1" x14ac:dyDescent="0.25">
      <c r="A22" s="13"/>
      <c r="B22" s="14"/>
      <c r="C22" s="14"/>
      <c r="D22" s="14"/>
      <c r="E22" s="14"/>
      <c r="F22" s="14"/>
      <c r="G22" s="14"/>
      <c r="H22" s="14"/>
      <c r="I22" s="14"/>
      <c r="J22" s="14"/>
      <c r="K22" s="27"/>
      <c r="L22" s="31" t="b">
        <f>IF(I6-60000&gt;=8040000, IF(I6-60000&lt;9040000,(I6-8100000)*0.144+786800,0))</f>
        <v>0</v>
      </c>
      <c r="M22"/>
    </row>
    <row r="23" spans="1:13" ht="13.5" thickBot="1" x14ac:dyDescent="0.25">
      <c r="A23" s="4">
        <v>16</v>
      </c>
      <c r="B23" s="4" t="s">
        <v>30</v>
      </c>
      <c r="C23" s="3"/>
      <c r="D23" s="3"/>
      <c r="E23" s="3"/>
      <c r="F23" s="3"/>
      <c r="G23" s="3"/>
      <c r="H23" s="4">
        <v>16</v>
      </c>
      <c r="I23" s="17">
        <f>MIN(I19:I21)</f>
        <v>0</v>
      </c>
      <c r="J23" s="6"/>
      <c r="K23" s="26"/>
      <c r="L23" s="32" t="b">
        <f>IF(I6-60000&gt;=9040000, IF(I6-60000&lt;10040000,(I6-9100000)*0.152+930800,0))</f>
        <v>0</v>
      </c>
      <c r="M23" s="16"/>
    </row>
    <row r="24" spans="1:13" x14ac:dyDescent="0.2">
      <c r="A24" s="4"/>
      <c r="B24" s="4"/>
      <c r="C24" s="3"/>
      <c r="D24" s="3"/>
      <c r="E24" s="3"/>
      <c r="F24" s="3"/>
      <c r="G24" s="3"/>
      <c r="H24" s="4"/>
      <c r="I24" s="64"/>
      <c r="J24" s="6"/>
      <c r="K24" s="26"/>
      <c r="L24" s="32"/>
      <c r="M24" s="16"/>
    </row>
    <row r="25" spans="1:13" x14ac:dyDescent="0.2">
      <c r="A25" s="63" t="s">
        <v>37</v>
      </c>
      <c r="B25" s="18"/>
      <c r="C25" s="18"/>
      <c r="D25" s="18"/>
      <c r="E25" s="18"/>
      <c r="F25" s="18"/>
      <c r="G25" s="18"/>
      <c r="H25" s="18"/>
      <c r="I25" s="18"/>
      <c r="J25" s="18"/>
      <c r="K25" s="27"/>
      <c r="L25" s="31">
        <f>IF(I6-60000&gt;=10040000,(I6-10100000)*0.16+1082800,0)</f>
        <v>0</v>
      </c>
    </row>
    <row r="26" spans="1:13" x14ac:dyDescent="0.2">
      <c r="A26" s="19">
        <v>17</v>
      </c>
      <c r="B26" s="20" t="s">
        <v>13</v>
      </c>
      <c r="C26" s="18"/>
      <c r="D26" s="18"/>
      <c r="E26" s="18"/>
      <c r="F26" s="18"/>
      <c r="G26" s="18"/>
      <c r="H26" s="61">
        <v>17</v>
      </c>
      <c r="I26" s="58"/>
      <c r="J26" s="21"/>
      <c r="K26" s="27"/>
    </row>
    <row r="27" spans="1:13" x14ac:dyDescent="0.2">
      <c r="A27" s="19">
        <v>18</v>
      </c>
      <c r="B27" s="20" t="s">
        <v>14</v>
      </c>
      <c r="C27" s="18"/>
      <c r="D27" s="18"/>
      <c r="E27" s="18"/>
      <c r="F27" s="18"/>
      <c r="G27" s="18"/>
      <c r="H27" s="61">
        <v>18</v>
      </c>
      <c r="I27" s="58"/>
      <c r="J27" s="21"/>
      <c r="K27" s="27"/>
    </row>
    <row r="28" spans="1:13" x14ac:dyDescent="0.2">
      <c r="A28" s="19">
        <v>19</v>
      </c>
      <c r="B28" s="20" t="s">
        <v>26</v>
      </c>
      <c r="C28" s="18"/>
      <c r="D28" s="18"/>
      <c r="E28" s="18"/>
      <c r="F28" s="18"/>
      <c r="G28" s="18"/>
      <c r="H28" s="61">
        <v>19</v>
      </c>
      <c r="I28" s="59">
        <f>I4</f>
        <v>0</v>
      </c>
      <c r="J28" s="22"/>
      <c r="K28" s="27"/>
    </row>
    <row r="29" spans="1:13" x14ac:dyDescent="0.2">
      <c r="A29" s="19">
        <v>20</v>
      </c>
      <c r="B29" s="20" t="s">
        <v>31</v>
      </c>
      <c r="C29" s="18"/>
      <c r="D29" s="18"/>
      <c r="E29" s="18"/>
      <c r="F29" s="18"/>
      <c r="G29" s="18"/>
      <c r="H29" s="61">
        <v>20</v>
      </c>
      <c r="I29" s="60" t="e">
        <f>+I27/I28</f>
        <v>#DIV/0!</v>
      </c>
      <c r="J29" s="24"/>
      <c r="K29" s="27"/>
    </row>
    <row r="30" spans="1:13" x14ac:dyDescent="0.2">
      <c r="A30" s="19">
        <v>21</v>
      </c>
      <c r="B30" s="20" t="s">
        <v>32</v>
      </c>
      <c r="C30" s="18"/>
      <c r="D30" s="18"/>
      <c r="E30" s="18"/>
      <c r="F30" s="18"/>
      <c r="G30" s="18"/>
      <c r="H30" s="61">
        <v>21</v>
      </c>
      <c r="I30" s="59" t="e">
        <f>+I23*I29</f>
        <v>#DIV/0!</v>
      </c>
      <c r="J30" s="22"/>
      <c r="K30" s="27"/>
    </row>
    <row r="31" spans="1:13" ht="13.5" thickBot="1" x14ac:dyDescent="0.25">
      <c r="A31" s="19">
        <v>22</v>
      </c>
      <c r="B31" s="20" t="s">
        <v>33</v>
      </c>
      <c r="C31" s="18"/>
      <c r="D31" s="18"/>
      <c r="E31" s="18"/>
      <c r="F31" s="18"/>
      <c r="G31" s="18"/>
      <c r="H31" s="61">
        <v>22</v>
      </c>
      <c r="I31" s="22" t="e">
        <f>MIN(I26,I30)</f>
        <v>#DIV/0!</v>
      </c>
      <c r="J31" s="22"/>
      <c r="K31" s="27"/>
    </row>
    <row r="32" spans="1:13" ht="13.5" thickBot="1" x14ac:dyDescent="0.25">
      <c r="A32" s="19">
        <v>23</v>
      </c>
      <c r="B32" s="20" t="s">
        <v>34</v>
      </c>
      <c r="C32" s="18"/>
      <c r="D32" s="18"/>
      <c r="E32" s="18"/>
      <c r="F32" s="18"/>
      <c r="G32" s="18"/>
      <c r="H32" s="61">
        <v>23</v>
      </c>
      <c r="I32" s="17" t="e">
        <f>+I23-I31</f>
        <v>#DIV/0!</v>
      </c>
      <c r="J32" s="21"/>
      <c r="K32" s="27"/>
    </row>
    <row r="33" spans="1:11" x14ac:dyDescent="0.2">
      <c r="A33" s="18"/>
      <c r="B33" s="18"/>
      <c r="C33" s="18"/>
      <c r="D33" s="18"/>
      <c r="E33" s="18"/>
      <c r="F33" s="18"/>
      <c r="G33" s="18"/>
      <c r="H33" s="18"/>
      <c r="I33" s="18"/>
      <c r="J33" s="18"/>
      <c r="K33" s="27"/>
    </row>
    <row r="34" spans="1:11" x14ac:dyDescent="0.2">
      <c r="A34" s="19" t="s">
        <v>27</v>
      </c>
      <c r="B34" s="18"/>
      <c r="C34" s="18"/>
      <c r="D34" s="18"/>
      <c r="E34" s="18"/>
      <c r="F34" s="18"/>
      <c r="G34" s="18"/>
      <c r="H34" s="18"/>
      <c r="I34" s="18"/>
      <c r="J34" s="18"/>
      <c r="K34" s="27"/>
    </row>
    <row r="35" spans="1:11" x14ac:dyDescent="0.2">
      <c r="A35" s="19">
        <v>24</v>
      </c>
      <c r="B35" s="18" t="s">
        <v>28</v>
      </c>
      <c r="C35" s="18"/>
      <c r="D35" s="18"/>
      <c r="E35" s="18"/>
      <c r="F35" s="18"/>
      <c r="G35" s="18"/>
      <c r="H35" s="61">
        <v>24</v>
      </c>
      <c r="I35" s="5"/>
      <c r="J35" s="21"/>
      <c r="K35" s="27"/>
    </row>
    <row r="36" spans="1:11" x14ac:dyDescent="0.2">
      <c r="A36" s="19">
        <v>25</v>
      </c>
      <c r="B36" s="18" t="s">
        <v>29</v>
      </c>
      <c r="C36" s="18"/>
      <c r="D36" s="18"/>
      <c r="E36" s="18"/>
      <c r="F36" s="18"/>
      <c r="G36" s="18"/>
      <c r="H36" s="61">
        <v>25</v>
      </c>
      <c r="I36" s="22">
        <f>I4</f>
        <v>0</v>
      </c>
      <c r="J36" s="22"/>
      <c r="K36" s="27"/>
    </row>
    <row r="37" spans="1:11" x14ac:dyDescent="0.2">
      <c r="A37" s="19">
        <v>26</v>
      </c>
      <c r="B37" s="18" t="s">
        <v>35</v>
      </c>
      <c r="C37" s="18"/>
      <c r="D37" s="18"/>
      <c r="E37" s="18"/>
      <c r="F37" s="18"/>
      <c r="G37" s="18"/>
      <c r="H37" s="61">
        <v>26</v>
      </c>
      <c r="I37" s="23" t="e">
        <f>+I35/I36</f>
        <v>#DIV/0!</v>
      </c>
      <c r="J37" s="24"/>
      <c r="K37" s="27"/>
    </row>
    <row r="38" spans="1:11" ht="13.5" thickBot="1" x14ac:dyDescent="0.25">
      <c r="A38" s="19"/>
      <c r="B38" s="18"/>
      <c r="C38" s="18"/>
      <c r="D38" s="18"/>
      <c r="E38" s="18"/>
      <c r="F38" s="18"/>
      <c r="G38" s="18"/>
      <c r="H38" s="62"/>
      <c r="I38" s="18"/>
      <c r="J38" s="18"/>
      <c r="K38" s="27"/>
    </row>
    <row r="39" spans="1:11" ht="13.5" thickBot="1" x14ac:dyDescent="0.25">
      <c r="A39" s="19">
        <v>27</v>
      </c>
      <c r="B39" s="18" t="s">
        <v>36</v>
      </c>
      <c r="C39" s="18"/>
      <c r="D39" s="18"/>
      <c r="E39" s="18"/>
      <c r="F39" s="18"/>
      <c r="G39" s="18"/>
      <c r="H39" s="61">
        <v>27</v>
      </c>
      <c r="I39" s="17" t="e">
        <f>+I23*I37</f>
        <v>#DIV/0!</v>
      </c>
      <c r="J39" s="21"/>
      <c r="K39" s="27"/>
    </row>
    <row r="40" spans="1:11" x14ac:dyDescent="0.2">
      <c r="A40" s="18"/>
      <c r="B40" s="18"/>
      <c r="C40" s="18"/>
      <c r="D40" s="18"/>
      <c r="E40" s="18"/>
      <c r="F40" s="18"/>
      <c r="G40" s="18"/>
      <c r="H40" s="18"/>
      <c r="I40" s="18"/>
      <c r="J40" s="18"/>
      <c r="K40" s="27"/>
    </row>
  </sheetData>
  <sheetProtection password="DD7B" sheet="1" objects="1" scenarios="1"/>
  <phoneticPr fontId="9" type="noConversion"/>
  <printOptions gridLines="1" gridLinesSet="0"/>
  <pageMargins left="0.49" right="0.48" top="1" bottom="1" header="0.5" footer="0.5"/>
  <pageSetup scale="90"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Computation</vt:lpstr>
      <vt:lpstr>Computation!Print_Area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1997-2006 Estate Tax Computation</dc:title>
  <dc:subject>MN-706</dc:subject>
  <dc:creator>Gregory D. Hoyt</dc:creator>
  <dc:description>Valid as of 1997 IRS changes</dc:description>
  <cp:lastModifiedBy>Tram Nguyen</cp:lastModifiedBy>
  <cp:lastPrinted>2003-02-26T17:32:46Z</cp:lastPrinted>
  <dcterms:created xsi:type="dcterms:W3CDTF">1999-01-27T14:52:24Z</dcterms:created>
  <dcterms:modified xsi:type="dcterms:W3CDTF">2014-04-16T20:35:10Z</dcterms:modified>
</cp:coreProperties>
</file>